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<sst xmlns="http://schemas.openxmlformats.org/spreadsheetml/2006/main" count="64" uniqueCount="24">
  <si>
    <t>Australian Bureau of Statistics</t>
  </si>
  <si>
    <t>Statistics - Tasmania, Historical tables</t>
  </si>
  <si>
    <t>Births, Deaths, Marriages and Divorces, Tasmania</t>
  </si>
  <si>
    <t xml:space="preserve"> Number</t>
  </si>
  <si>
    <t>Rate per 1,000 of population(a)</t>
  </si>
  <si>
    <t xml:space="preserve"> Deaths under one year of age</t>
  </si>
  <si>
    <t>Year</t>
  </si>
  <si>
    <t>Births</t>
  </si>
  <si>
    <t>Deaths</t>
  </si>
  <si>
    <t>Marriages</t>
  </si>
  <si>
    <t xml:space="preserve">Divorces </t>
  </si>
  <si>
    <t xml:space="preserve"> Births </t>
  </si>
  <si>
    <t xml:space="preserve"> Marriages</t>
  </si>
  <si>
    <t>Number</t>
  </si>
  <si>
    <t>Rate per 1,000 live births</t>
  </si>
  <si>
    <t>n.a.</t>
  </si>
  <si>
    <t xml:space="preserve"> n.a.</t>
  </si>
  <si>
    <t xml:space="preserve"> 298</t>
  </si>
  <si>
    <t xml:space="preserve"> 420</t>
  </si>
  <si>
    <t xml:space="preserve"> 389</t>
  </si>
  <si>
    <t xml:space="preserve"> 288</t>
  </si>
  <si>
    <t xml:space="preserve"> 176</t>
  </si>
  <si>
    <t>n.a. not available</t>
  </si>
  <si>
    <t>© Commonwealth of Australia, 2002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</si>
</sst>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right"/>
    </xf>
    <xf numFmtId="0" fontId="5" fillId="2" borderId="1" xfId="0" applyNumberFormat="1" applyFont="1" applyFill="1" applyAlignment="1">
      <alignment horizontal="right"/>
    </xf>
    <xf numFmtId="0" fontId="5" fillId="2" borderId="1" xfId="0" applyNumberFormat="1" applyFont="1" applyFill="1" applyAlignment="1">
      <alignment horizontal="right" wrapText="1"/>
    </xf>
    <xf numFmtId="1" fontId="5" fillId="2" borderId="1" xfId="0" applyNumberFormat="1" applyFont="1" applyFill="1" applyAlignment="1">
      <alignment horizontal="left"/>
    </xf>
    <xf numFmtId="3" fontId="5" fillId="2" borderId="1" xfId="0" applyNumberFormat="1" applyFont="1" applyFill="1" applyAlignment="1">
      <alignment horizontal="right"/>
    </xf>
    <xf numFmtId="1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right"/>
    </xf>
    <xf numFmtId="2" fontId="5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/>
    </xf>
    <xf numFmtId="2" fontId="5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 horizontal="centerContinuous"/>
    </xf>
    <xf numFmtId="0" fontId="0" fillId="2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left"/>
    </xf>
    <xf numFmtId="0" fontId="5" fillId="2" borderId="2" xfId="0" applyNumberFormat="1" applyFont="1" applyFill="1" applyBorder="1" applyAlignment="1">
      <alignment horizontal="right" wrapText="1"/>
    </xf>
    <xf numFmtId="0" fontId="0" fillId="0" borderId="2" xfId="0" applyBorder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9.6640625" style="21" customWidth="1"/>
    <col min="2" max="5" width="9.6640625" style="3" customWidth="1"/>
    <col min="6" max="6" width="5.6640625" style="3" customWidth="1"/>
    <col min="7" max="8" width="8.6640625" style="3" customWidth="1"/>
    <col min="9" max="9" width="10.6640625" style="3" customWidth="1"/>
    <col min="10" max="10" width="5.6640625" style="3" customWidth="1"/>
    <col min="11" max="11" width="9.6640625" style="3" customWidth="1"/>
    <col min="12" max="12" width="10.6640625" style="3" customWidth="1"/>
    <col min="13" max="16384" width="9.6640625" style="3" customWidth="1"/>
  </cols>
  <sheetData>
    <row r="1" ht="15.75">
      <c r="A1" s="2" t="s">
        <v>0</v>
      </c>
    </row>
    <row r="2" ht="15.75">
      <c r="A2" s="4" t="s">
        <v>1</v>
      </c>
    </row>
    <row r="3" spans="1:12" ht="1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256" ht="36" customHeight="1">
      <c r="A5" s="7"/>
      <c r="B5" s="6"/>
      <c r="C5" s="8"/>
      <c r="D5" s="8"/>
      <c r="E5" s="8" t="s">
        <v>3</v>
      </c>
      <c r="F5" s="8"/>
      <c r="G5" s="6"/>
      <c r="H5" s="8"/>
      <c r="I5" s="8" t="s">
        <v>4</v>
      </c>
      <c r="J5" s="8"/>
      <c r="K5" s="23" t="s">
        <v>5</v>
      </c>
      <c r="L5" s="2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42" customHeight="1">
      <c r="A6" s="7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8"/>
      <c r="G6" s="9" t="s">
        <v>11</v>
      </c>
      <c r="H6" s="9" t="s">
        <v>8</v>
      </c>
      <c r="I6" s="9" t="s">
        <v>12</v>
      </c>
      <c r="J6" s="8"/>
      <c r="K6" s="9" t="s">
        <v>13</v>
      </c>
      <c r="L6" s="10" t="s">
        <v>14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">
      <c r="A7" s="11">
        <v>1830</v>
      </c>
      <c r="B7" s="12">
        <f>460</f>
        <v>460</v>
      </c>
      <c r="C7" s="12">
        <f>270</f>
        <v>270</v>
      </c>
      <c r="D7" s="12">
        <f>163</f>
        <v>163</v>
      </c>
      <c r="E7" s="12" t="s">
        <v>15</v>
      </c>
      <c r="F7" s="12"/>
      <c r="G7" s="9" t="s">
        <v>16</v>
      </c>
      <c r="H7" s="9" t="s">
        <v>15</v>
      </c>
      <c r="I7" s="9" t="s">
        <v>16</v>
      </c>
      <c r="J7" s="9"/>
      <c r="K7" s="9" t="s">
        <v>16</v>
      </c>
      <c r="L7" s="9" t="s">
        <v>15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5">
      <c r="A8" s="13">
        <v>1840</v>
      </c>
      <c r="B8" s="14">
        <f>404</f>
        <v>404</v>
      </c>
      <c r="C8" s="14">
        <f>501</f>
        <v>501</v>
      </c>
      <c r="D8" s="14">
        <f>457</f>
        <v>457</v>
      </c>
      <c r="E8" s="14" t="s">
        <v>15</v>
      </c>
      <c r="F8" s="14"/>
      <c r="G8" s="8" t="s">
        <v>16</v>
      </c>
      <c r="H8" s="8" t="s">
        <v>16</v>
      </c>
      <c r="I8" s="8" t="s">
        <v>15</v>
      </c>
      <c r="J8" s="8"/>
      <c r="K8" s="8" t="s">
        <v>15</v>
      </c>
      <c r="L8" s="8" t="s">
        <v>16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">
      <c r="A9" s="13">
        <v>1845</v>
      </c>
      <c r="B9" s="14">
        <v>1506</v>
      </c>
      <c r="C9" s="14">
        <f>697</f>
        <v>697</v>
      </c>
      <c r="D9" s="14">
        <f>658</f>
        <v>658</v>
      </c>
      <c r="E9" s="14" t="s">
        <v>15</v>
      </c>
      <c r="F9" s="14"/>
      <c r="G9" s="8" t="s">
        <v>16</v>
      </c>
      <c r="H9" s="8" t="s">
        <v>15</v>
      </c>
      <c r="I9" s="8" t="s">
        <v>15</v>
      </c>
      <c r="J9" s="8"/>
      <c r="K9" s="8" t="s">
        <v>15</v>
      </c>
      <c r="L9" s="8" t="s">
        <v>16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">
      <c r="A10" s="13">
        <v>1850</v>
      </c>
      <c r="B10" s="14">
        <v>2025</v>
      </c>
      <c r="C10" s="14">
        <v>1070</v>
      </c>
      <c r="D10" s="14">
        <f>923</f>
        <v>923</v>
      </c>
      <c r="E10" s="14" t="s">
        <v>15</v>
      </c>
      <c r="F10" s="14"/>
      <c r="G10" s="8" t="s">
        <v>16</v>
      </c>
      <c r="H10" s="8" t="s">
        <v>15</v>
      </c>
      <c r="I10" s="8" t="s">
        <v>15</v>
      </c>
      <c r="J10" s="8"/>
      <c r="K10" s="8" t="s">
        <v>16</v>
      </c>
      <c r="L10" s="8" t="s">
        <v>16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5">
      <c r="A11" s="13">
        <v>1855</v>
      </c>
      <c r="B11" s="14">
        <v>2948</v>
      </c>
      <c r="C11" s="14">
        <v>1692</v>
      </c>
      <c r="D11" s="14">
        <v>1257</v>
      </c>
      <c r="E11" s="14" t="s">
        <v>15</v>
      </c>
      <c r="F11" s="14"/>
      <c r="G11" s="8" t="s">
        <v>16</v>
      </c>
      <c r="H11" s="8" t="s">
        <v>15</v>
      </c>
      <c r="I11" s="8" t="s">
        <v>16</v>
      </c>
      <c r="J11" s="8"/>
      <c r="K11" s="8" t="s">
        <v>16</v>
      </c>
      <c r="L11" s="8" t="s">
        <v>16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">
      <c r="A12" s="13">
        <v>1860</v>
      </c>
      <c r="B12" s="14">
        <v>3238</v>
      </c>
      <c r="C12" s="14">
        <v>1749</v>
      </c>
      <c r="D12" s="14">
        <f>689</f>
        <v>689</v>
      </c>
      <c r="E12" s="14" t="s">
        <v>15</v>
      </c>
      <c r="F12" s="14"/>
      <c r="G12" s="15">
        <v>36.48</v>
      </c>
      <c r="H12" s="15">
        <v>19.71</v>
      </c>
      <c r="I12" s="15">
        <f>7.76</f>
        <v>7.76</v>
      </c>
      <c r="J12" s="15"/>
      <c r="K12" s="8" t="s">
        <v>15</v>
      </c>
      <c r="L12" s="8" t="s">
        <v>16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">
      <c r="A13" s="13">
        <v>1865</v>
      </c>
      <c r="B13" s="14">
        <v>3069</v>
      </c>
      <c r="C13" s="14">
        <v>1263</v>
      </c>
      <c r="D13" s="14">
        <f>591</f>
        <v>591</v>
      </c>
      <c r="E13" s="14" t="s">
        <v>15</v>
      </c>
      <c r="F13" s="14"/>
      <c r="G13" s="15">
        <v>32.96</v>
      </c>
      <c r="H13" s="15">
        <v>13.56</v>
      </c>
      <c r="I13" s="15">
        <f>6.35</f>
        <v>6.35</v>
      </c>
      <c r="J13" s="15"/>
      <c r="K13" s="8" t="s">
        <v>15</v>
      </c>
      <c r="L13" s="8" t="s">
        <v>16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">
      <c r="A14" s="13">
        <v>1870</v>
      </c>
      <c r="B14" s="14">
        <v>3054</v>
      </c>
      <c r="C14" s="14">
        <v>1404</v>
      </c>
      <c r="D14" s="14">
        <f>670</f>
        <v>670</v>
      </c>
      <c r="E14" s="14" t="s">
        <v>15</v>
      </c>
      <c r="F14" s="14"/>
      <c r="G14" s="15">
        <v>30.53</v>
      </c>
      <c r="H14" s="15">
        <v>14.03</v>
      </c>
      <c r="I14" s="15">
        <f>6.7</f>
        <v>6.7</v>
      </c>
      <c r="J14" s="15"/>
      <c r="K14" s="8" t="s">
        <v>17</v>
      </c>
      <c r="L14" s="16">
        <f>97.6</f>
        <v>97.6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">
      <c r="A15" s="13">
        <v>1875</v>
      </c>
      <c r="B15" s="14">
        <v>3105</v>
      </c>
      <c r="C15" s="14">
        <v>2079</v>
      </c>
      <c r="D15" s="14">
        <f>689</f>
        <v>689</v>
      </c>
      <c r="E15" s="14" t="s">
        <v>15</v>
      </c>
      <c r="F15" s="14"/>
      <c r="G15" s="15">
        <v>29.86</v>
      </c>
      <c r="H15" s="15">
        <v>19.99</v>
      </c>
      <c r="I15" s="15">
        <f>6.83</f>
        <v>6.83</v>
      </c>
      <c r="J15" s="15"/>
      <c r="K15" s="8">
        <v>407</v>
      </c>
      <c r="L15" s="16">
        <v>131.1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">
      <c r="A16" s="13">
        <v>1880</v>
      </c>
      <c r="B16" s="14">
        <v>3739</v>
      </c>
      <c r="C16" s="14">
        <v>1832</v>
      </c>
      <c r="D16" s="14">
        <f>840</f>
        <v>840</v>
      </c>
      <c r="E16" s="14" t="s">
        <v>15</v>
      </c>
      <c r="F16" s="14"/>
      <c r="G16" s="15">
        <v>32.9</v>
      </c>
      <c r="H16" s="15">
        <v>16.12</v>
      </c>
      <c r="I16" s="15">
        <f>7.39</f>
        <v>7.39</v>
      </c>
      <c r="J16" s="15"/>
      <c r="K16" s="8" t="s">
        <v>18</v>
      </c>
      <c r="L16" s="16">
        <v>112.3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">
      <c r="A17" s="13">
        <v>1885</v>
      </c>
      <c r="B17" s="14">
        <v>4637</v>
      </c>
      <c r="C17" s="14">
        <v>2036</v>
      </c>
      <c r="D17" s="14">
        <v>1054</v>
      </c>
      <c r="E17" s="14" t="s">
        <v>15</v>
      </c>
      <c r="F17" s="14"/>
      <c r="G17" s="15">
        <v>36.29</v>
      </c>
      <c r="H17" s="15">
        <v>15.94</v>
      </c>
      <c r="I17" s="15">
        <f>8.25</f>
        <v>8.25</v>
      </c>
      <c r="J17" s="15"/>
      <c r="K17" s="8">
        <v>522</v>
      </c>
      <c r="L17" s="16">
        <v>112.6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">
      <c r="A18" s="13">
        <v>1890</v>
      </c>
      <c r="B18" s="14">
        <v>4813</v>
      </c>
      <c r="C18" s="14">
        <v>2118</v>
      </c>
      <c r="D18" s="14">
        <f>954</f>
        <v>954</v>
      </c>
      <c r="E18" s="14" t="s">
        <v>15</v>
      </c>
      <c r="F18" s="14"/>
      <c r="G18" s="15">
        <v>33.6</v>
      </c>
      <c r="H18" s="15">
        <v>14.79</v>
      </c>
      <c r="I18" s="15">
        <f>6.66</f>
        <v>6.66</v>
      </c>
      <c r="J18" s="15"/>
      <c r="K18" s="8">
        <v>508</v>
      </c>
      <c r="L18" s="16">
        <v>105.6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5">
      <c r="A19" s="13">
        <v>1895</v>
      </c>
      <c r="B19" s="14">
        <v>4790</v>
      </c>
      <c r="C19" s="14">
        <v>1811</v>
      </c>
      <c r="D19" s="14">
        <f>846</f>
        <v>846</v>
      </c>
      <c r="E19" s="14">
        <f>5</f>
        <v>5</v>
      </c>
      <c r="F19" s="14"/>
      <c r="G19" s="15">
        <v>31.16</v>
      </c>
      <c r="H19" s="15">
        <v>11.78</v>
      </c>
      <c r="I19" s="15">
        <f>5.5</f>
        <v>5.5</v>
      </c>
      <c r="J19" s="15"/>
      <c r="K19" s="8">
        <v>391</v>
      </c>
      <c r="L19" s="16">
        <f>81.6</f>
        <v>81.6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">
      <c r="A20" s="13">
        <v>1900</v>
      </c>
      <c r="B20" s="14">
        <v>4864</v>
      </c>
      <c r="C20" s="14">
        <v>1903</v>
      </c>
      <c r="D20" s="14">
        <v>1332</v>
      </c>
      <c r="E20" s="14">
        <f>4</f>
        <v>4</v>
      </c>
      <c r="F20" s="14"/>
      <c r="G20" s="15">
        <v>28.18</v>
      </c>
      <c r="H20" s="15">
        <v>11.02</v>
      </c>
      <c r="I20" s="15">
        <f>7.72</f>
        <v>7.72</v>
      </c>
      <c r="J20" s="15"/>
      <c r="K20" s="8" t="s">
        <v>19</v>
      </c>
      <c r="L20" s="16">
        <f>80</f>
        <v>80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">
      <c r="A21" s="13">
        <v>1905</v>
      </c>
      <c r="B21" s="14">
        <v>5257</v>
      </c>
      <c r="C21" s="14">
        <v>1844</v>
      </c>
      <c r="D21" s="14">
        <v>1365</v>
      </c>
      <c r="E21" s="14">
        <f>2</f>
        <v>2</v>
      </c>
      <c r="F21" s="14"/>
      <c r="G21" s="15">
        <v>28.5</v>
      </c>
      <c r="H21" s="15">
        <v>10</v>
      </c>
      <c r="I21" s="15">
        <f>7.4</f>
        <v>7.4</v>
      </c>
      <c r="J21" s="15"/>
      <c r="K21" s="8">
        <v>424</v>
      </c>
      <c r="L21" s="16">
        <f>80.7</f>
        <v>80.7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5">
      <c r="A22" s="13">
        <v>1910</v>
      </c>
      <c r="B22" s="14">
        <v>5586</v>
      </c>
      <c r="C22" s="14">
        <v>2120</v>
      </c>
      <c r="D22" s="14">
        <v>1493</v>
      </c>
      <c r="E22" s="14">
        <f>6</f>
        <v>6</v>
      </c>
      <c r="F22" s="14"/>
      <c r="G22" s="15">
        <v>29.25</v>
      </c>
      <c r="H22" s="15">
        <v>11.1</v>
      </c>
      <c r="I22" s="15">
        <f>7.82</f>
        <v>7.82</v>
      </c>
      <c r="J22" s="15"/>
      <c r="K22" s="8">
        <v>568</v>
      </c>
      <c r="L22" s="16">
        <v>101.7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">
      <c r="A23" s="13">
        <v>1915</v>
      </c>
      <c r="B23" s="14">
        <v>5845</v>
      </c>
      <c r="C23" s="14">
        <v>2015</v>
      </c>
      <c r="D23" s="14">
        <v>1600</v>
      </c>
      <c r="E23" s="14">
        <f>7</f>
        <v>7</v>
      </c>
      <c r="F23" s="14"/>
      <c r="G23" s="15">
        <v>29.79</v>
      </c>
      <c r="H23" s="15">
        <v>10.27</v>
      </c>
      <c r="I23" s="15">
        <f>8.15</f>
        <v>8.15</v>
      </c>
      <c r="J23" s="15"/>
      <c r="K23" s="8">
        <v>423</v>
      </c>
      <c r="L23" s="16">
        <f>72.4</f>
        <v>72.4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">
      <c r="A24" s="13">
        <v>1920</v>
      </c>
      <c r="B24" s="14">
        <v>5740</v>
      </c>
      <c r="C24" s="14">
        <v>2036</v>
      </c>
      <c r="D24" s="14">
        <v>1999</v>
      </c>
      <c r="E24" s="14">
        <f>18</f>
        <v>18</v>
      </c>
      <c r="F24" s="14"/>
      <c r="G24" s="15">
        <v>27.29</v>
      </c>
      <c r="H24" s="15">
        <f>9.68</f>
        <v>9.68</v>
      </c>
      <c r="I24" s="15">
        <f>9.5</f>
        <v>9.5</v>
      </c>
      <c r="J24" s="15"/>
      <c r="K24" s="8">
        <v>376</v>
      </c>
      <c r="L24" s="16">
        <f>65.5</f>
        <v>65.5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">
      <c r="A25" s="13">
        <v>1925</v>
      </c>
      <c r="B25" s="14">
        <v>5218</v>
      </c>
      <c r="C25" s="14">
        <v>1996</v>
      </c>
      <c r="D25" s="14">
        <v>1504</v>
      </c>
      <c r="E25" s="14">
        <f>37</f>
        <v>37</v>
      </c>
      <c r="F25" s="14"/>
      <c r="G25" s="15">
        <v>24.21</v>
      </c>
      <c r="H25" s="15">
        <f>9.26</f>
        <v>9.26</v>
      </c>
      <c r="I25" s="15">
        <f>6.98</f>
        <v>6.98</v>
      </c>
      <c r="J25" s="15"/>
      <c r="K25" s="8" t="s">
        <v>20</v>
      </c>
      <c r="L25" s="16">
        <f>55.2</f>
        <v>55.2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">
      <c r="A26" s="13">
        <v>1930</v>
      </c>
      <c r="B26" s="14">
        <v>4786</v>
      </c>
      <c r="C26" s="14">
        <v>1948</v>
      </c>
      <c r="D26" s="14">
        <v>1450</v>
      </c>
      <c r="E26" s="14">
        <f>42</f>
        <v>42</v>
      </c>
      <c r="F26" s="14"/>
      <c r="G26" s="15">
        <v>21.66</v>
      </c>
      <c r="H26" s="15">
        <f>8.82</f>
        <v>8.82</v>
      </c>
      <c r="I26" s="15">
        <f>6.56</f>
        <v>6.56</v>
      </c>
      <c r="J26" s="15"/>
      <c r="K26" s="8">
        <v>242</v>
      </c>
      <c r="L26" s="16">
        <f>50.6</f>
        <v>50.6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">
      <c r="A27" s="13">
        <v>1935</v>
      </c>
      <c r="B27" s="14">
        <v>4456</v>
      </c>
      <c r="C27" s="14">
        <v>2353</v>
      </c>
      <c r="D27" s="14">
        <v>1875</v>
      </c>
      <c r="E27" s="14">
        <f>87</f>
        <v>87</v>
      </c>
      <c r="F27" s="14"/>
      <c r="G27" s="15">
        <v>19.39</v>
      </c>
      <c r="H27" s="15">
        <v>10.24</v>
      </c>
      <c r="I27" s="15">
        <f>8.16</f>
        <v>8.16</v>
      </c>
      <c r="J27" s="15"/>
      <c r="K27" s="8">
        <v>231</v>
      </c>
      <c r="L27" s="16">
        <f>51.8</f>
        <v>51.8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">
      <c r="A28" s="13">
        <v>1940</v>
      </c>
      <c r="B28" s="14">
        <v>4994</v>
      </c>
      <c r="C28" s="14">
        <v>2387</v>
      </c>
      <c r="D28" s="14">
        <v>2476</v>
      </c>
      <c r="E28" s="14">
        <f>83</f>
        <v>83</v>
      </c>
      <c r="F28" s="14"/>
      <c r="G28" s="15">
        <v>20.71</v>
      </c>
      <c r="H28" s="15">
        <f>9.9</f>
        <v>9.9</v>
      </c>
      <c r="I28" s="15">
        <v>10.27</v>
      </c>
      <c r="J28" s="15"/>
      <c r="K28" s="8" t="s">
        <v>21</v>
      </c>
      <c r="L28" s="16">
        <f>35.2</f>
        <v>35.2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">
      <c r="A29" s="13">
        <v>1945</v>
      </c>
      <c r="B29" s="14">
        <v>5785</v>
      </c>
      <c r="C29" s="14">
        <v>2413</v>
      </c>
      <c r="D29" s="14">
        <v>1868</v>
      </c>
      <c r="E29" s="14">
        <f>172</f>
        <v>172</v>
      </c>
      <c r="F29" s="14"/>
      <c r="G29" s="15">
        <v>23.27</v>
      </c>
      <c r="H29" s="15">
        <f>9.71</f>
        <v>9.71</v>
      </c>
      <c r="I29" s="15">
        <f>7.51</f>
        <v>7.51</v>
      </c>
      <c r="J29" s="15"/>
      <c r="K29" s="8">
        <v>159</v>
      </c>
      <c r="L29" s="16">
        <f>27.5</f>
        <v>27.5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">
      <c r="A30" s="13">
        <v>1950</v>
      </c>
      <c r="B30" s="14">
        <v>7242</v>
      </c>
      <c r="C30" s="14">
        <v>2466</v>
      </c>
      <c r="D30" s="14">
        <v>2560</v>
      </c>
      <c r="E30" s="14">
        <f>152</f>
        <v>152</v>
      </c>
      <c r="F30" s="14"/>
      <c r="G30" s="15">
        <v>25.96</v>
      </c>
      <c r="H30" s="15">
        <f>8.85</f>
        <v>8.85</v>
      </c>
      <c r="I30" s="15">
        <f>9.18</f>
        <v>9.18</v>
      </c>
      <c r="J30" s="15"/>
      <c r="K30" s="8">
        <v>172</v>
      </c>
      <c r="L30" s="16">
        <f>23.8</f>
        <v>23.8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">
      <c r="A31" s="13">
        <v>1951</v>
      </c>
      <c r="B31" s="14">
        <v>7357</v>
      </c>
      <c r="C31" s="14">
        <v>2567</v>
      </c>
      <c r="D31" s="14">
        <v>2607</v>
      </c>
      <c r="E31" s="14">
        <f>194</f>
        <v>194</v>
      </c>
      <c r="F31" s="14"/>
      <c r="G31" s="15">
        <v>25.52</v>
      </c>
      <c r="H31" s="15">
        <f>8.93</f>
        <v>8.93</v>
      </c>
      <c r="I31" s="15">
        <f>9.04</f>
        <v>9.04</v>
      </c>
      <c r="J31" s="15"/>
      <c r="K31" s="8">
        <v>196</v>
      </c>
      <c r="L31" s="16">
        <f>26.6</f>
        <v>26.6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5">
      <c r="A32" s="13">
        <v>1952</v>
      </c>
      <c r="B32" s="14">
        <v>7916</v>
      </c>
      <c r="C32" s="14">
        <v>2579</v>
      </c>
      <c r="D32" s="14">
        <v>2553</v>
      </c>
      <c r="E32" s="14">
        <f>217</f>
        <v>217</v>
      </c>
      <c r="F32" s="14"/>
      <c r="G32" s="15">
        <v>26.53</v>
      </c>
      <c r="H32" s="15">
        <f>8.64</f>
        <v>8.64</v>
      </c>
      <c r="I32" s="15">
        <f>8.56</f>
        <v>8.56</v>
      </c>
      <c r="J32" s="15"/>
      <c r="K32" s="8">
        <v>172</v>
      </c>
      <c r="L32" s="16">
        <f>21.7</f>
        <v>21.7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">
      <c r="A33" s="13">
        <v>1953</v>
      </c>
      <c r="B33" s="14">
        <v>7736</v>
      </c>
      <c r="C33" s="14">
        <v>2551</v>
      </c>
      <c r="D33" s="14">
        <v>2424</v>
      </c>
      <c r="E33" s="14">
        <f>210</f>
        <v>210</v>
      </c>
      <c r="F33" s="14"/>
      <c r="G33" s="15">
        <v>25.25</v>
      </c>
      <c r="H33" s="15">
        <f>8.33</f>
        <v>8.33</v>
      </c>
      <c r="I33" s="15">
        <f>7.91</f>
        <v>7.91</v>
      </c>
      <c r="J33" s="15"/>
      <c r="K33" s="8">
        <v>177</v>
      </c>
      <c r="L33" s="16">
        <f>22.9</f>
        <v>22.9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">
      <c r="A34" s="13">
        <v>1954</v>
      </c>
      <c r="B34" s="14">
        <v>7770</v>
      </c>
      <c r="C34" s="14">
        <v>2696</v>
      </c>
      <c r="D34" s="14">
        <v>2512</v>
      </c>
      <c r="E34" s="14">
        <f>238</f>
        <v>238</v>
      </c>
      <c r="F34" s="14"/>
      <c r="G34" s="15">
        <v>24.98</v>
      </c>
      <c r="H34" s="15">
        <f>8.67</f>
        <v>8.67</v>
      </c>
      <c r="I34" s="15">
        <f>8.08</f>
        <v>8.08</v>
      </c>
      <c r="J34" s="15"/>
      <c r="K34" s="8">
        <v>186</v>
      </c>
      <c r="L34" s="16">
        <f>23.9</f>
        <v>23.9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">
      <c r="A35" s="13">
        <v>1955</v>
      </c>
      <c r="B35" s="14">
        <v>8089</v>
      </c>
      <c r="C35" s="14">
        <v>2489</v>
      </c>
      <c r="D35" s="14">
        <v>2600</v>
      </c>
      <c r="E35" s="14">
        <f>233</f>
        <v>233</v>
      </c>
      <c r="F35" s="14"/>
      <c r="G35" s="15">
        <v>25.63</v>
      </c>
      <c r="H35" s="15">
        <f>7.89</f>
        <v>7.89</v>
      </c>
      <c r="I35" s="15">
        <f>8.24</f>
        <v>8.24</v>
      </c>
      <c r="J35" s="15"/>
      <c r="K35" s="8">
        <v>189</v>
      </c>
      <c r="L35" s="16">
        <f>23.4</f>
        <v>23.4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">
      <c r="A36" s="13">
        <v>1956</v>
      </c>
      <c r="B36" s="14">
        <v>8104</v>
      </c>
      <c r="C36" s="14">
        <v>2513</v>
      </c>
      <c r="D36" s="14">
        <v>2601</v>
      </c>
      <c r="E36" s="14">
        <f>197</f>
        <v>197</v>
      </c>
      <c r="F36" s="14"/>
      <c r="G36" s="15">
        <v>25.24</v>
      </c>
      <c r="H36" s="15">
        <f>7.83</f>
        <v>7.83</v>
      </c>
      <c r="I36" s="15">
        <f>8.1</f>
        <v>8.1</v>
      </c>
      <c r="J36" s="15"/>
      <c r="K36" s="8">
        <v>170</v>
      </c>
      <c r="L36" s="16">
        <f>21</f>
        <v>21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5">
      <c r="A37" s="13">
        <v>1957</v>
      </c>
      <c r="B37" s="14">
        <v>8435</v>
      </c>
      <c r="C37" s="14">
        <v>2670</v>
      </c>
      <c r="D37" s="14">
        <v>2507</v>
      </c>
      <c r="E37" s="14">
        <f>180</f>
        <v>180</v>
      </c>
      <c r="F37" s="14"/>
      <c r="G37" s="15">
        <v>25.68</v>
      </c>
      <c r="H37" s="15">
        <f>8.13</f>
        <v>8.13</v>
      </c>
      <c r="I37" s="15">
        <f>7.63</f>
        <v>7.63</v>
      </c>
      <c r="J37" s="15"/>
      <c r="K37" s="8">
        <v>170</v>
      </c>
      <c r="L37" s="16">
        <f>20.2</f>
        <v>20.2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5">
      <c r="A38" s="13">
        <v>1958</v>
      </c>
      <c r="B38" s="14">
        <v>8568</v>
      </c>
      <c r="C38" s="14">
        <v>2708</v>
      </c>
      <c r="D38" s="14">
        <v>2475</v>
      </c>
      <c r="E38" s="14">
        <f>176</f>
        <v>176</v>
      </c>
      <c r="F38" s="14"/>
      <c r="G38" s="15">
        <v>25.55</v>
      </c>
      <c r="H38" s="15">
        <f>8.07</f>
        <v>8.07</v>
      </c>
      <c r="I38" s="15">
        <f>7.38</f>
        <v>7.38</v>
      </c>
      <c r="J38" s="15"/>
      <c r="K38" s="8">
        <v>167</v>
      </c>
      <c r="L38" s="16">
        <f>19.5</f>
        <v>19.5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">
      <c r="A39" s="13">
        <v>1959</v>
      </c>
      <c r="B39" s="14">
        <v>8625</v>
      </c>
      <c r="C39" s="14">
        <v>2780</v>
      </c>
      <c r="D39" s="14">
        <v>2567</v>
      </c>
      <c r="E39" s="14">
        <f>222</f>
        <v>222</v>
      </c>
      <c r="F39" s="14"/>
      <c r="G39" s="15">
        <v>25.26</v>
      </c>
      <c r="H39" s="15">
        <f>8.14</f>
        <v>8.14</v>
      </c>
      <c r="I39" s="15">
        <f>7.52</f>
        <v>7.52</v>
      </c>
      <c r="J39" s="15"/>
      <c r="K39" s="8">
        <v>202</v>
      </c>
      <c r="L39" s="16">
        <f>23.4</f>
        <v>23.4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">
      <c r="A40" s="13">
        <v>1960</v>
      </c>
      <c r="B40" s="14">
        <v>8853</v>
      </c>
      <c r="C40" s="14">
        <v>2670</v>
      </c>
      <c r="D40" s="14">
        <v>2713</v>
      </c>
      <c r="E40" s="14">
        <f>210</f>
        <v>210</v>
      </c>
      <c r="F40" s="14"/>
      <c r="G40" s="15">
        <v>25.52</v>
      </c>
      <c r="H40" s="15">
        <f>7.7</f>
        <v>7.7</v>
      </c>
      <c r="I40" s="15">
        <f>7.82</f>
        <v>7.82</v>
      </c>
      <c r="J40" s="15"/>
      <c r="K40" s="8">
        <v>169</v>
      </c>
      <c r="L40" s="16">
        <f>19.1</f>
        <v>19.1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">
      <c r="A41" s="13">
        <v>1961</v>
      </c>
      <c r="B41" s="14">
        <v>8892</v>
      </c>
      <c r="C41" s="14">
        <v>2789</v>
      </c>
      <c r="D41" s="14">
        <v>2677</v>
      </c>
      <c r="E41" s="14">
        <f>286</f>
        <v>286</v>
      </c>
      <c r="F41" s="14"/>
      <c r="G41" s="15">
        <v>25.4</v>
      </c>
      <c r="H41" s="15">
        <f>7.89</f>
        <v>7.89</v>
      </c>
      <c r="I41" s="15">
        <f>7.57</f>
        <v>7.57</v>
      </c>
      <c r="J41" s="15"/>
      <c r="K41" s="8">
        <v>151</v>
      </c>
      <c r="L41" s="16">
        <f>16.8</f>
        <v>16.8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">
      <c r="A42" s="13">
        <v>1962</v>
      </c>
      <c r="B42" s="14">
        <v>8894</v>
      </c>
      <c r="C42" s="14">
        <v>2870</v>
      </c>
      <c r="D42" s="14">
        <v>2485</v>
      </c>
      <c r="E42" s="14">
        <f>249</f>
        <v>249</v>
      </c>
      <c r="F42" s="14"/>
      <c r="G42" s="15">
        <v>25.01</v>
      </c>
      <c r="H42" s="15">
        <f>8.07</f>
        <v>8.07</v>
      </c>
      <c r="I42" s="15">
        <f>6.99</f>
        <v>6.99</v>
      </c>
      <c r="J42" s="15"/>
      <c r="K42" s="8">
        <v>184</v>
      </c>
      <c r="L42" s="16">
        <f>20.7</f>
        <v>20.7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">
      <c r="A43" s="13">
        <v>1963</v>
      </c>
      <c r="B43" s="14">
        <v>8530</v>
      </c>
      <c r="C43" s="14">
        <v>2818</v>
      </c>
      <c r="D43" s="14">
        <v>2579</v>
      </c>
      <c r="E43" s="14">
        <f>261</f>
        <v>261</v>
      </c>
      <c r="F43" s="14"/>
      <c r="G43" s="15">
        <v>23.66</v>
      </c>
      <c r="H43" s="15">
        <f>7.82</f>
        <v>7.82</v>
      </c>
      <c r="I43" s="15">
        <f>7.15</f>
        <v>7.15</v>
      </c>
      <c r="J43" s="15"/>
      <c r="K43" s="8">
        <v>153</v>
      </c>
      <c r="L43" s="16">
        <f>17.9</f>
        <v>17.9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">
      <c r="A44" s="13">
        <v>1964</v>
      </c>
      <c r="B44" s="14">
        <v>8252</v>
      </c>
      <c r="C44" s="14">
        <v>3174</v>
      </c>
      <c r="D44" s="14">
        <v>2869</v>
      </c>
      <c r="E44" s="14">
        <f>230</f>
        <v>230</v>
      </c>
      <c r="F44" s="14"/>
      <c r="G44" s="15">
        <v>22.64</v>
      </c>
      <c r="H44" s="15">
        <f>8.71</f>
        <v>8.71</v>
      </c>
      <c r="I44" s="15">
        <f>7.87</f>
        <v>7.87</v>
      </c>
      <c r="J44" s="15"/>
      <c r="K44" s="8">
        <v>166</v>
      </c>
      <c r="L44" s="16">
        <f>20.1</f>
        <v>20.1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">
      <c r="A45" s="13">
        <v>1965</v>
      </c>
      <c r="B45" s="14">
        <v>7535</v>
      </c>
      <c r="C45" s="14">
        <v>3043</v>
      </c>
      <c r="D45" s="14">
        <v>2888</v>
      </c>
      <c r="E45" s="14">
        <f>280</f>
        <v>280</v>
      </c>
      <c r="F45" s="14"/>
      <c r="G45" s="15">
        <v>20.48</v>
      </c>
      <c r="H45" s="15">
        <f>8.27</f>
        <v>8.27</v>
      </c>
      <c r="I45" s="15">
        <f>7.85</f>
        <v>7.85</v>
      </c>
      <c r="J45" s="15"/>
      <c r="K45" s="8">
        <v>125</v>
      </c>
      <c r="L45" s="16">
        <f>16.6</f>
        <v>16.6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5">
      <c r="A46" s="13">
        <v>1966</v>
      </c>
      <c r="B46" s="14">
        <v>7401</v>
      </c>
      <c r="C46" s="14">
        <v>3159</v>
      </c>
      <c r="D46" s="14">
        <v>2946</v>
      </c>
      <c r="E46" s="14">
        <f>319</f>
        <v>319</v>
      </c>
      <c r="F46" s="14"/>
      <c r="G46" s="15">
        <v>19.92</v>
      </c>
      <c r="H46" s="15">
        <f>8.5</f>
        <v>8.5</v>
      </c>
      <c r="I46" s="15">
        <f>7.93</f>
        <v>7.93</v>
      </c>
      <c r="J46" s="15"/>
      <c r="K46" s="8">
        <v>108</v>
      </c>
      <c r="L46" s="16">
        <f>14.6</f>
        <v>14.6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">
      <c r="A47" s="13">
        <v>1967</v>
      </c>
      <c r="B47" s="14">
        <v>7547</v>
      </c>
      <c r="C47" s="14">
        <v>3228</v>
      </c>
      <c r="D47" s="14">
        <v>3213</v>
      </c>
      <c r="E47" s="14">
        <f>248</f>
        <v>248</v>
      </c>
      <c r="F47" s="14"/>
      <c r="G47" s="15">
        <v>20.1</v>
      </c>
      <c r="H47" s="15">
        <f>8.6</f>
        <v>8.6</v>
      </c>
      <c r="I47" s="15">
        <f>8.56</f>
        <v>8.56</v>
      </c>
      <c r="J47" s="15"/>
      <c r="K47" s="8">
        <v>130</v>
      </c>
      <c r="L47" s="16">
        <f>17.2</f>
        <v>17.2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">
      <c r="A48" s="13">
        <v>1968</v>
      </c>
      <c r="B48" s="14">
        <v>8317</v>
      </c>
      <c r="C48" s="14">
        <v>3284</v>
      </c>
      <c r="D48" s="14">
        <v>3426</v>
      </c>
      <c r="E48" s="14">
        <f>303</f>
        <v>303</v>
      </c>
      <c r="F48" s="14"/>
      <c r="G48" s="15">
        <v>21.89</v>
      </c>
      <c r="H48" s="15">
        <f>8.64</f>
        <v>8.64</v>
      </c>
      <c r="I48" s="15">
        <f>9.02</f>
        <v>9.02</v>
      </c>
      <c r="J48" s="15"/>
      <c r="K48" s="8">
        <v>143</v>
      </c>
      <c r="L48" s="16">
        <f>17.2</f>
        <v>17.2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">
      <c r="A49" s="13">
        <v>1969</v>
      </c>
      <c r="B49" s="14">
        <v>8445</v>
      </c>
      <c r="C49" s="14">
        <v>3309</v>
      </c>
      <c r="D49" s="14">
        <v>3532</v>
      </c>
      <c r="E49" s="14">
        <f>331</f>
        <v>331</v>
      </c>
      <c r="F49" s="14"/>
      <c r="G49" s="15">
        <v>21.93</v>
      </c>
      <c r="H49" s="15">
        <f>8.59</f>
        <v>8.59</v>
      </c>
      <c r="I49" s="15">
        <f>9.17</f>
        <v>9.17</v>
      </c>
      <c r="J49" s="15"/>
      <c r="K49" s="8">
        <v>139</v>
      </c>
      <c r="L49" s="16">
        <f>16.5</f>
        <v>16.5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">
      <c r="A50" s="13">
        <v>1970</v>
      </c>
      <c r="B50" s="14">
        <v>8185</v>
      </c>
      <c r="C50" s="14">
        <v>3174</v>
      </c>
      <c r="D50" s="14">
        <v>3535</v>
      </c>
      <c r="E50" s="14">
        <f>426</f>
        <v>426</v>
      </c>
      <c r="F50" s="14"/>
      <c r="G50" s="15">
        <v>21.09</v>
      </c>
      <c r="H50" s="15">
        <f>8.16</f>
        <v>8.16</v>
      </c>
      <c r="I50" s="15">
        <f>9.11</f>
        <v>9.11</v>
      </c>
      <c r="J50" s="15"/>
      <c r="K50" s="8">
        <v>116</v>
      </c>
      <c r="L50" s="16">
        <f>14.2</f>
        <v>14.2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">
      <c r="A51" s="13">
        <v>1971</v>
      </c>
      <c r="B51" s="14">
        <v>8321</v>
      </c>
      <c r="C51" s="14">
        <v>3295</v>
      </c>
      <c r="D51" s="14">
        <v>3578</v>
      </c>
      <c r="E51" s="14">
        <f>432</f>
        <v>432</v>
      </c>
      <c r="F51" s="14"/>
      <c r="G51" s="15">
        <v>21.32</v>
      </c>
      <c r="H51" s="15">
        <f>8.44</f>
        <v>8.44</v>
      </c>
      <c r="I51" s="15">
        <f>9.17</f>
        <v>9.17</v>
      </c>
      <c r="J51" s="15"/>
      <c r="K51" s="8">
        <v>114</v>
      </c>
      <c r="L51" s="16">
        <f>13.7</f>
        <v>13.7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">
      <c r="A52" s="13">
        <v>1972</v>
      </c>
      <c r="B52" s="14">
        <v>7824</v>
      </c>
      <c r="C52" s="14">
        <v>3227</v>
      </c>
      <c r="D52" s="14">
        <v>3426</v>
      </c>
      <c r="E52" s="14">
        <f>446</f>
        <v>446</v>
      </c>
      <c r="F52" s="14"/>
      <c r="G52" s="15">
        <v>19.94</v>
      </c>
      <c r="H52" s="15">
        <f>8.22</f>
        <v>8.22</v>
      </c>
      <c r="I52" s="15">
        <f>8.73</f>
        <v>8.73</v>
      </c>
      <c r="J52" s="15"/>
      <c r="K52" s="8">
        <v>127</v>
      </c>
      <c r="L52" s="16">
        <f>16.2</f>
        <v>16.2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">
      <c r="A53" s="13">
        <v>1973</v>
      </c>
      <c r="B53" s="14">
        <v>7326</v>
      </c>
      <c r="C53" s="14">
        <v>3347</v>
      </c>
      <c r="D53" s="14">
        <v>3395</v>
      </c>
      <c r="E53" s="14">
        <f>444</f>
        <v>444</v>
      </c>
      <c r="F53" s="14"/>
      <c r="G53" s="15">
        <v>18.51</v>
      </c>
      <c r="H53" s="15">
        <f>8.46</f>
        <v>8.46</v>
      </c>
      <c r="I53" s="15">
        <f>8.58</f>
        <v>8.58</v>
      </c>
      <c r="J53" s="15"/>
      <c r="K53" s="8">
        <v>137</v>
      </c>
      <c r="L53" s="16">
        <f>18.7</f>
        <v>18.7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">
      <c r="A54" s="13">
        <v>1974</v>
      </c>
      <c r="B54" s="14">
        <v>7398</v>
      </c>
      <c r="C54" s="14">
        <v>3484</v>
      </c>
      <c r="D54" s="14">
        <v>3567</v>
      </c>
      <c r="E54" s="14">
        <f>536</f>
        <v>536</v>
      </c>
      <c r="F54" s="14"/>
      <c r="G54" s="15">
        <v>18.52</v>
      </c>
      <c r="H54" s="15">
        <f>8.72</f>
        <v>8.72</v>
      </c>
      <c r="I54" s="15">
        <f>8.93</f>
        <v>8.93</v>
      </c>
      <c r="J54" s="15"/>
      <c r="K54" s="8">
        <v>123</v>
      </c>
      <c r="L54" s="16">
        <f>16.6</f>
        <v>16.6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">
      <c r="A55" s="13">
        <v>1975</v>
      </c>
      <c r="B55" s="14">
        <v>6982</v>
      </c>
      <c r="C55" s="14">
        <v>3339</v>
      </c>
      <c r="D55" s="14">
        <v>3242</v>
      </c>
      <c r="E55" s="14">
        <f>591</f>
        <v>591</v>
      </c>
      <c r="F55" s="14"/>
      <c r="G55" s="15">
        <v>17.26</v>
      </c>
      <c r="H55" s="15">
        <f>8.26</f>
        <v>8.26</v>
      </c>
      <c r="I55" s="15">
        <f>8.02</f>
        <v>8.02</v>
      </c>
      <c r="J55" s="15"/>
      <c r="K55" s="8">
        <v>128</v>
      </c>
      <c r="L55" s="16">
        <f>18.3</f>
        <v>18.3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">
      <c r="A56" s="13">
        <v>1976</v>
      </c>
      <c r="B56" s="14">
        <v>6702</v>
      </c>
      <c r="C56" s="14">
        <v>3389</v>
      </c>
      <c r="D56" s="14">
        <v>3477</v>
      </c>
      <c r="E56" s="14">
        <v>1761</v>
      </c>
      <c r="F56" s="14"/>
      <c r="G56" s="15">
        <v>16.44</v>
      </c>
      <c r="H56" s="15">
        <f>8.32</f>
        <v>8.32</v>
      </c>
      <c r="I56" s="15">
        <f>8.53</f>
        <v>8.53</v>
      </c>
      <c r="J56" s="15"/>
      <c r="K56" s="8">
        <v>77</v>
      </c>
      <c r="L56" s="16">
        <f>11.5</f>
        <v>11.5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5">
      <c r="A57" s="13">
        <v>1977</v>
      </c>
      <c r="B57" s="14">
        <v>6735</v>
      </c>
      <c r="C57" s="14">
        <v>3269</v>
      </c>
      <c r="D57" s="14">
        <v>3166</v>
      </c>
      <c r="E57" s="14">
        <v>1134</v>
      </c>
      <c r="F57" s="14"/>
      <c r="G57" s="15">
        <v>16.4</v>
      </c>
      <c r="H57" s="15">
        <f>7.96</f>
        <v>7.96</v>
      </c>
      <c r="I57" s="15">
        <f>7.71</f>
        <v>7.71</v>
      </c>
      <c r="J57" s="15"/>
      <c r="K57" s="8">
        <v>99</v>
      </c>
      <c r="L57" s="16">
        <f>14.7</f>
        <v>14.7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">
      <c r="A58" s="13">
        <v>1978</v>
      </c>
      <c r="B58" s="14">
        <v>6788</v>
      </c>
      <c r="C58" s="14">
        <v>3271</v>
      </c>
      <c r="D58" s="14">
        <v>3148</v>
      </c>
      <c r="E58" s="14">
        <v>1132</v>
      </c>
      <c r="F58" s="14"/>
      <c r="G58" s="15">
        <v>16.41</v>
      </c>
      <c r="H58" s="15">
        <f>8</f>
        <v>8</v>
      </c>
      <c r="I58" s="15">
        <f>7.61</f>
        <v>7.61</v>
      </c>
      <c r="J58" s="15"/>
      <c r="K58" s="8">
        <v>97</v>
      </c>
      <c r="L58" s="16">
        <f>14.3</f>
        <v>14.3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">
      <c r="A59" s="13">
        <v>1979</v>
      </c>
      <c r="B59" s="14">
        <v>6757</v>
      </c>
      <c r="C59" s="14">
        <v>3167</v>
      </c>
      <c r="D59" s="14">
        <v>3245</v>
      </c>
      <c r="E59" s="14">
        <v>1167</v>
      </c>
      <c r="F59" s="14"/>
      <c r="G59" s="15">
        <v>16.17</v>
      </c>
      <c r="H59" s="15">
        <f>7.58</f>
        <v>7.58</v>
      </c>
      <c r="I59" s="15">
        <f>7.79</f>
        <v>7.79</v>
      </c>
      <c r="J59" s="15"/>
      <c r="K59" s="8">
        <v>95</v>
      </c>
      <c r="L59" s="16">
        <f>14.1</f>
        <v>14.1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">
      <c r="A60" s="13">
        <v>1980</v>
      </c>
      <c r="B60" s="14">
        <v>6735</v>
      </c>
      <c r="C60" s="14">
        <v>3392</v>
      </c>
      <c r="D60" s="14">
        <v>3433</v>
      </c>
      <c r="E60" s="14">
        <v>1285</v>
      </c>
      <c r="F60" s="14"/>
      <c r="G60" s="15">
        <v>15.9</v>
      </c>
      <c r="H60" s="15">
        <f>7.8</f>
        <v>7.8</v>
      </c>
      <c r="I60" s="15">
        <f>8.2</f>
        <v>8.2</v>
      </c>
      <c r="J60" s="15"/>
      <c r="K60" s="8">
        <v>79</v>
      </c>
      <c r="L60" s="16">
        <f>11.7</f>
        <v>11.7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">
      <c r="A61" s="13">
        <v>1981</v>
      </c>
      <c r="B61" s="14">
        <v>7230</v>
      </c>
      <c r="C61" s="14">
        <v>3320</v>
      </c>
      <c r="D61" s="14">
        <v>3515</v>
      </c>
      <c r="E61" s="14">
        <v>1139</v>
      </c>
      <c r="F61" s="14"/>
      <c r="G61" s="15">
        <v>16.93</v>
      </c>
      <c r="H61" s="15">
        <f>7.77</f>
        <v>7.77</v>
      </c>
      <c r="I61" s="15">
        <f>8.23</f>
        <v>8.23</v>
      </c>
      <c r="J61" s="15"/>
      <c r="K61" s="8">
        <v>86</v>
      </c>
      <c r="L61" s="16">
        <f>12</f>
        <v>12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">
      <c r="A62" s="13">
        <v>1982</v>
      </c>
      <c r="B62" s="14">
        <v>7103</v>
      </c>
      <c r="C62" s="14">
        <v>3444</v>
      </c>
      <c r="D62" s="14">
        <v>3576</v>
      </c>
      <c r="E62" s="14">
        <v>1391</v>
      </c>
      <c r="F62" s="14"/>
      <c r="G62" s="15">
        <v>16.53</v>
      </c>
      <c r="H62" s="15">
        <f>8.01</f>
        <v>8.01</v>
      </c>
      <c r="I62" s="15">
        <f>8.32</f>
        <v>8.32</v>
      </c>
      <c r="J62" s="15"/>
      <c r="K62" s="8">
        <v>55</v>
      </c>
      <c r="L62" s="16">
        <f>7.9</f>
        <v>7.9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">
      <c r="A63" s="13">
        <v>1983</v>
      </c>
      <c r="B63" s="14">
        <v>7062</v>
      </c>
      <c r="C63" s="14">
        <v>3319</v>
      </c>
      <c r="D63" s="14">
        <v>3644</v>
      </c>
      <c r="E63" s="14">
        <v>1359</v>
      </c>
      <c r="F63" s="14"/>
      <c r="G63" s="15">
        <v>16.32</v>
      </c>
      <c r="H63" s="15">
        <f>7.67</f>
        <v>7.67</v>
      </c>
      <c r="I63" s="15">
        <f>8.42</f>
        <v>8.42</v>
      </c>
      <c r="J63" s="15"/>
      <c r="K63" s="8">
        <v>74</v>
      </c>
      <c r="L63" s="16">
        <f>10.5</f>
        <v>10.5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">
      <c r="A64" s="13">
        <v>1984</v>
      </c>
      <c r="B64" s="14">
        <v>7132</v>
      </c>
      <c r="C64" s="14">
        <v>3596</v>
      </c>
      <c r="D64" s="14">
        <v>3704</v>
      </c>
      <c r="E64" s="14">
        <v>1185</v>
      </c>
      <c r="F64" s="14"/>
      <c r="G64" s="15">
        <v>16.3</v>
      </c>
      <c r="H64" s="15">
        <f>8.22</f>
        <v>8.22</v>
      </c>
      <c r="I64" s="15">
        <f>8.46</f>
        <v>8.46</v>
      </c>
      <c r="J64" s="15"/>
      <c r="K64" s="8">
        <v>81</v>
      </c>
      <c r="L64" s="16">
        <f>11.4</f>
        <v>11.4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">
      <c r="A65" s="13">
        <v>1985</v>
      </c>
      <c r="B65" s="14">
        <v>7249</v>
      </c>
      <c r="C65" s="14">
        <v>3693</v>
      </c>
      <c r="D65" s="14">
        <v>3520</v>
      </c>
      <c r="E65" s="14">
        <v>1169</v>
      </c>
      <c r="F65" s="14"/>
      <c r="G65" s="15">
        <v>16.38</v>
      </c>
      <c r="H65" s="15">
        <f>8.35</f>
        <v>8.35</v>
      </c>
      <c r="I65" s="15">
        <f>7.95</f>
        <v>7.95</v>
      </c>
      <c r="J65" s="15"/>
      <c r="K65" s="8">
        <v>87</v>
      </c>
      <c r="L65" s="16">
        <f>12.1</f>
        <v>12.1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">
      <c r="A66" s="13">
        <v>1986</v>
      </c>
      <c r="B66" s="14">
        <v>6950</v>
      </c>
      <c r="C66" s="14">
        <v>3454</v>
      </c>
      <c r="D66" s="14">
        <v>3302</v>
      </c>
      <c r="E66" s="14">
        <v>1245</v>
      </c>
      <c r="F66" s="14"/>
      <c r="G66" s="15">
        <v>15.57</v>
      </c>
      <c r="H66" s="15">
        <f>7.74</f>
        <v>7.74</v>
      </c>
      <c r="I66" s="15">
        <f>7.4</f>
        <v>7.4</v>
      </c>
      <c r="J66" s="15"/>
      <c r="K66" s="8">
        <v>74</v>
      </c>
      <c r="L66" s="16">
        <f>10.7</f>
        <v>10.7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">
      <c r="A67" s="13">
        <v>1987</v>
      </c>
      <c r="B67" s="14">
        <v>6790</v>
      </c>
      <c r="C67" s="14">
        <v>3637</v>
      </c>
      <c r="D67" s="14">
        <v>3141</v>
      </c>
      <c r="E67" s="14">
        <v>1115</v>
      </c>
      <c r="F67" s="14"/>
      <c r="G67" s="15">
        <v>15.12</v>
      </c>
      <c r="H67" s="15">
        <f>8.1</f>
        <v>8.1</v>
      </c>
      <c r="I67" s="15">
        <f>7</f>
        <v>7</v>
      </c>
      <c r="J67" s="15"/>
      <c r="K67" s="8">
        <v>68</v>
      </c>
      <c r="L67" s="16">
        <f>10</f>
        <v>10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">
      <c r="A68" s="13">
        <v>1988</v>
      </c>
      <c r="B68" s="14">
        <v>6779</v>
      </c>
      <c r="C68" s="14">
        <v>3547</v>
      </c>
      <c r="D68" s="14">
        <v>3035</v>
      </c>
      <c r="E68" s="14">
        <v>1220</v>
      </c>
      <c r="F68" s="14"/>
      <c r="G68" s="15">
        <v>15.02</v>
      </c>
      <c r="H68" s="15">
        <f>7.86</f>
        <v>7.86</v>
      </c>
      <c r="I68" s="15">
        <f>6.73</f>
        <v>6.73</v>
      </c>
      <c r="J68" s="15"/>
      <c r="K68" s="8">
        <v>59</v>
      </c>
      <c r="L68" s="16">
        <f>8.7</f>
        <v>8.7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">
      <c r="A69" s="13">
        <v>1989</v>
      </c>
      <c r="B69" s="14">
        <v>6813</v>
      </c>
      <c r="C69" s="14">
        <v>3690</v>
      </c>
      <c r="D69" s="14">
        <v>3111</v>
      </c>
      <c r="E69" s="14">
        <v>1269</v>
      </c>
      <c r="F69" s="14"/>
      <c r="G69" s="15">
        <v>14.96</v>
      </c>
      <c r="H69" s="15">
        <f>8.1</f>
        <v>8.1</v>
      </c>
      <c r="I69" s="15">
        <f>6.83</f>
        <v>6.83</v>
      </c>
      <c r="J69" s="15"/>
      <c r="K69" s="8">
        <v>72</v>
      </c>
      <c r="L69" s="16">
        <f>10.6</f>
        <v>10.6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">
      <c r="A70" s="13">
        <f>1990</f>
        <v>1990</v>
      </c>
      <c r="B70" s="14">
        <v>7043</v>
      </c>
      <c r="C70" s="14">
        <v>3713</v>
      </c>
      <c r="D70" s="14">
        <v>3026</v>
      </c>
      <c r="E70" s="14">
        <v>1170</v>
      </c>
      <c r="F70" s="14"/>
      <c r="G70" s="15">
        <v>15.25</v>
      </c>
      <c r="H70" s="15">
        <f>8.04</f>
        <v>8.04</v>
      </c>
      <c r="I70" s="15">
        <f>6.55</f>
        <v>6.55</v>
      </c>
      <c r="J70" s="15"/>
      <c r="K70" s="8">
        <v>59</v>
      </c>
      <c r="L70" s="16">
        <f>8.4</f>
        <v>8.4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">
      <c r="A71" s="13">
        <v>1991</v>
      </c>
      <c r="B71" s="14">
        <v>6870</v>
      </c>
      <c r="C71" s="14">
        <v>3686</v>
      </c>
      <c r="D71" s="14">
        <v>3069</v>
      </c>
      <c r="E71" s="14">
        <v>1383</v>
      </c>
      <c r="F71" s="14"/>
      <c r="G71" s="15">
        <v>14.72</v>
      </c>
      <c r="H71" s="15">
        <f>7.9</f>
        <v>7.9</v>
      </c>
      <c r="I71" s="15">
        <f>6.58</f>
        <v>6.58</v>
      </c>
      <c r="J71" s="15"/>
      <c r="K71" s="8">
        <v>62</v>
      </c>
      <c r="L71" s="16">
        <f>9</f>
        <v>9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5">
      <c r="A72" s="13">
        <v>1992</v>
      </c>
      <c r="B72" s="14">
        <v>6987</v>
      </c>
      <c r="C72" s="14">
        <v>3739</v>
      </c>
      <c r="D72" s="14">
        <v>3081</v>
      </c>
      <c r="E72" s="14">
        <v>1365</v>
      </c>
      <c r="F72" s="14"/>
      <c r="G72" s="15">
        <v>14.87</v>
      </c>
      <c r="H72" s="15">
        <f>7.96</f>
        <v>7.96</v>
      </c>
      <c r="I72" s="15">
        <f>6.56</f>
        <v>6.56</v>
      </c>
      <c r="J72" s="15"/>
      <c r="K72" s="8">
        <v>46</v>
      </c>
      <c r="L72" s="16">
        <f>6.6</f>
        <v>6.6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">
      <c r="A73" s="13">
        <v>1993</v>
      </c>
      <c r="B73" s="14">
        <v>6816</v>
      </c>
      <c r="C73" s="14">
        <v>3632</v>
      </c>
      <c r="D73" s="14">
        <v>3055</v>
      </c>
      <c r="E73" s="14">
        <v>1465</v>
      </c>
      <c r="F73" s="14"/>
      <c r="G73" s="15">
        <v>14.45</v>
      </c>
      <c r="H73" s="15">
        <f>7.7</f>
        <v>7.7</v>
      </c>
      <c r="I73" s="15">
        <f>6.47</f>
        <v>6.47</v>
      </c>
      <c r="J73" s="15"/>
      <c r="K73" s="8">
        <v>40</v>
      </c>
      <c r="L73" s="16">
        <f>5.9</f>
        <v>5.9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">
      <c r="A74" s="13">
        <v>1994</v>
      </c>
      <c r="B74" s="14">
        <v>6883</v>
      </c>
      <c r="C74" s="14">
        <v>3909</v>
      </c>
      <c r="D74" s="14">
        <v>2887</v>
      </c>
      <c r="E74" s="14">
        <v>1544</v>
      </c>
      <c r="F74" s="14"/>
      <c r="G74" s="15">
        <v>14.55</v>
      </c>
      <c r="H74" s="15">
        <f>8.27</f>
        <v>8.27</v>
      </c>
      <c r="I74" s="15">
        <v>6.1</v>
      </c>
      <c r="J74" s="15"/>
      <c r="K74" s="8">
        <v>51</v>
      </c>
      <c r="L74" s="16">
        <f>7.5</f>
        <v>7.5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">
      <c r="A75" s="13">
        <v>1995</v>
      </c>
      <c r="B75" s="14">
        <v>6560</v>
      </c>
      <c r="C75" s="14">
        <v>3794</v>
      </c>
      <c r="D75" s="14">
        <v>2840</v>
      </c>
      <c r="E75" s="14">
        <v>1279</v>
      </c>
      <c r="F75" s="14"/>
      <c r="G75" s="15">
        <v>13.85</v>
      </c>
      <c r="H75" s="15">
        <f>7.91</f>
        <v>7.91</v>
      </c>
      <c r="I75" s="15">
        <f>6</f>
        <v>6</v>
      </c>
      <c r="J75" s="15"/>
      <c r="K75" s="8">
        <v>38</v>
      </c>
      <c r="L75" s="16">
        <f>5.8</f>
        <v>5.8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">
      <c r="A76" s="13">
        <v>1996</v>
      </c>
      <c r="B76" s="14">
        <v>6337</v>
      </c>
      <c r="C76" s="14">
        <v>3826</v>
      </c>
      <c r="D76" s="14">
        <v>2654</v>
      </c>
      <c r="E76" s="14">
        <v>1582</v>
      </c>
      <c r="F76" s="14"/>
      <c r="G76" s="15">
        <v>13.36</v>
      </c>
      <c r="H76" s="15">
        <f>8.06</f>
        <v>8.06</v>
      </c>
      <c r="I76" s="15">
        <f>5.59</f>
        <v>5.59</v>
      </c>
      <c r="J76" s="15"/>
      <c r="K76" s="8">
        <v>28</v>
      </c>
      <c r="L76" s="16">
        <f>4.4</f>
        <v>4.4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">
      <c r="A77" s="13">
        <v>1997</v>
      </c>
      <c r="B77" s="14">
        <v>5974</v>
      </c>
      <c r="C77" s="14">
        <v>3837</v>
      </c>
      <c r="D77" s="14">
        <v>2672</v>
      </c>
      <c r="E77" s="14">
        <v>1321</v>
      </c>
      <c r="F77" s="14"/>
      <c r="G77" s="15">
        <v>12.62</v>
      </c>
      <c r="H77" s="15">
        <f>8.1</f>
        <v>8.1</v>
      </c>
      <c r="I77" s="15">
        <f>5.64</f>
        <v>5.64</v>
      </c>
      <c r="J77" s="15"/>
      <c r="K77" s="8">
        <v>43</v>
      </c>
      <c r="L77" s="16">
        <f>7.2</f>
        <v>7.2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">
      <c r="A78" s="13">
        <v>1998</v>
      </c>
      <c r="B78" s="17">
        <v>6087</v>
      </c>
      <c r="C78" s="17">
        <v>3698</v>
      </c>
      <c r="D78" s="17">
        <v>2599</v>
      </c>
      <c r="E78" s="17">
        <v>1322</v>
      </c>
      <c r="F78" s="17"/>
      <c r="G78" s="18">
        <v>12.9</v>
      </c>
      <c r="H78" s="18">
        <f>7.84</f>
        <v>7.84</v>
      </c>
      <c r="I78" s="18">
        <f>5.51</f>
        <v>5.51</v>
      </c>
      <c r="J78" s="18"/>
      <c r="K78" s="6">
        <v>31</v>
      </c>
      <c r="L78" s="19">
        <f>5.1</f>
        <v>5.1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">
      <c r="A79" s="13">
        <v>1999</v>
      </c>
      <c r="B79" s="17">
        <v>6162</v>
      </c>
      <c r="C79" s="17">
        <v>3739</v>
      </c>
      <c r="D79" s="17">
        <v>2499</v>
      </c>
      <c r="E79" s="17">
        <v>1391</v>
      </c>
      <c r="F79" s="17"/>
      <c r="G79" s="18">
        <v>13.09</v>
      </c>
      <c r="H79" s="18">
        <f>7.94</f>
        <v>7.94</v>
      </c>
      <c r="I79" s="18">
        <f>5.31</f>
        <v>5.31</v>
      </c>
      <c r="J79" s="18"/>
      <c r="K79" s="6">
        <v>48</v>
      </c>
      <c r="L79" s="19">
        <f>7.8</f>
        <v>7.8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">
      <c r="A80" s="13">
        <v>2000</v>
      </c>
      <c r="B80" s="17">
        <v>5604</v>
      </c>
      <c r="C80" s="17">
        <v>3730</v>
      </c>
      <c r="D80" s="17">
        <v>2589</v>
      </c>
      <c r="E80" s="17">
        <v>1329</v>
      </c>
      <c r="F80" s="17"/>
      <c r="G80" s="18">
        <v>11.92</v>
      </c>
      <c r="H80" s="18">
        <f>7.93</f>
        <v>7.93</v>
      </c>
      <c r="I80" s="18">
        <f>5.5</f>
        <v>5.5</v>
      </c>
      <c r="J80" s="18"/>
      <c r="K80" s="6">
        <v>28</v>
      </c>
      <c r="L80" s="19">
        <f>5</f>
        <v>5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5">
      <c r="A82" s="7" t="s">
        <v>22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">
      <c r="A84" s="22" t="s">
        <v>23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">
      <c r="A86" s="1"/>
      <c r="B86" s="20"/>
      <c r="C86" s="2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</sheetData>
  <mergeCells count="1">
    <mergeCell ref="K5:L5"/>
  </mergeCells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